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70" yWindow="-150" windowWidth="18945" windowHeight="7500"/>
  </bookViews>
  <sheets>
    <sheet name="introduction" sheetId="1" r:id="rId1"/>
    <sheet name="determine tarnish rate and AC" sheetId="2" r:id="rId2"/>
    <sheet name="input showcase data" sheetId="3" r:id="rId3"/>
    <sheet name="underlying data" sheetId="5" r:id="rId4"/>
    <sheet name="outputs" sheetId="4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3" i="2"/>
  <c r="C9" i="4" l="1"/>
  <c r="C8" i="4"/>
  <c r="C4" i="4"/>
  <c r="C7" i="4"/>
  <c r="B3" i="4" l="1"/>
  <c r="B1" i="4"/>
  <c r="B7" i="4" l="1"/>
  <c r="G3" i="4"/>
  <c r="I3" i="4"/>
  <c r="E3" i="4"/>
  <c r="B4" i="4"/>
  <c r="B5" i="4"/>
  <c r="B9" i="4"/>
  <c r="B8" i="4"/>
  <c r="B10" i="4"/>
  <c r="I9" i="4" l="1"/>
  <c r="G9" i="4"/>
  <c r="E9" i="4"/>
  <c r="G8" i="4"/>
  <c r="E8" i="4"/>
  <c r="I8" i="4"/>
  <c r="B6" i="4"/>
  <c r="I5" i="4"/>
  <c r="G5" i="4"/>
  <c r="E5" i="4"/>
  <c r="C5" i="4"/>
  <c r="G10" i="4"/>
  <c r="E10" i="4"/>
  <c r="I10" i="4"/>
  <c r="C10" i="4"/>
  <c r="I4" i="4"/>
  <c r="E4" i="4"/>
  <c r="G4" i="4"/>
  <c r="G7" i="4"/>
  <c r="E7" i="4"/>
  <c r="I7" i="4"/>
  <c r="B12" i="4"/>
  <c r="B11" i="4"/>
  <c r="I6" i="4" l="1"/>
  <c r="G6" i="4"/>
  <c r="E6" i="4"/>
  <c r="I12" i="4"/>
  <c r="G12" i="4"/>
  <c r="E12" i="4"/>
  <c r="G11" i="4"/>
  <c r="E11" i="4"/>
  <c r="I11" i="4"/>
</calcChain>
</file>

<file path=xl/sharedStrings.xml><?xml version="1.0" encoding="utf-8"?>
<sst xmlns="http://schemas.openxmlformats.org/spreadsheetml/2006/main" count="102" uniqueCount="66">
  <si>
    <t>I am particularly interested if anyone will share data to improve this spreadsheets accuracy</t>
  </si>
  <si>
    <t>use this tab to input showcase data, leave blank is showcases are not being assessed</t>
  </si>
  <si>
    <t>showcase air exchange rate (per day)</t>
  </si>
  <si>
    <t>this can be measured with carbon dioxide tracer gas method, or other methods. Alternatively it can be estimated for a new build. Pressure difference method will not work for these calculations</t>
  </si>
  <si>
    <t>this should be the volume including any compartment contected to the display volume (facilities/silica gel trays, potentially lighting compartments</t>
  </si>
  <si>
    <t>showcase volume (m3)</t>
  </si>
  <si>
    <t xml:space="preserve">the tarnish rate can be measured using silver pieces and colorimetry (or potentiodynamic stripping) or using Aircorr system with silver or Onguard 2/3/4000 silver results </t>
  </si>
  <si>
    <t>if pollution concentration measuremetns and T and RH data are available it can be estimated from indoor silver damage function</t>
  </si>
  <si>
    <t>measurement period (days)</t>
  </si>
  <si>
    <t>enter decrease in L*</t>
  </si>
  <si>
    <t>enter tarnish thickness (nm)</t>
  </si>
  <si>
    <t>enter increase in b*</t>
  </si>
  <si>
    <t>enter cleaning criteria</t>
  </si>
  <si>
    <t>corrosion class I or II ISO 11788</t>
  </si>
  <si>
    <t>estimated annual tarnish rate</t>
  </si>
  <si>
    <t>enter the time period for the assessment (years)</t>
  </si>
  <si>
    <t>It is important to consider this very carefully, it can effect the results dramatically.</t>
  </si>
  <si>
    <t>This spreadsheet is designed to estimate carbon footprints and other sustainability indices for maintaining silver collections</t>
  </si>
  <si>
    <t>in room</t>
  </si>
  <si>
    <t>clean with Prelim</t>
  </si>
  <si>
    <t>clean with silver dip</t>
  </si>
  <si>
    <t>clean with Goddards LT silver cloth</t>
  </si>
  <si>
    <t>in room plus air filter</t>
  </si>
  <si>
    <t>in showcase</t>
  </si>
  <si>
    <t>in room plus lacquer</t>
  </si>
  <si>
    <t>in room plus lacquer plus air filter</t>
  </si>
  <si>
    <t>in showcase plus dymax filter</t>
  </si>
  <si>
    <t>in showcase plus camfil filter</t>
  </si>
  <si>
    <t>in showcase plus lacquer</t>
  </si>
  <si>
    <t>in showcase plus dymax filter plus lacquer</t>
  </si>
  <si>
    <t>in showcase plus camfil filter plus lacquer</t>
  </si>
  <si>
    <t>calculated cleaning frequency (years)</t>
  </si>
  <si>
    <t>protection afforded by</t>
  </si>
  <si>
    <t>Dynamax pump</t>
  </si>
  <si>
    <t>Camfil pump</t>
  </si>
  <si>
    <t>Blue Clima air purifier</t>
  </si>
  <si>
    <t>embedded carbon</t>
  </si>
  <si>
    <t xml:space="preserve">filter </t>
  </si>
  <si>
    <t>filter changes</t>
  </si>
  <si>
    <t>electricity useage</t>
  </si>
  <si>
    <t>frigilene lacquer</t>
  </si>
  <si>
    <t>Prelim (per m2 silver)</t>
  </si>
  <si>
    <t>silver dip (per m2 silver)</t>
  </si>
  <si>
    <t>Goddards Long term silver cloth (per m2 silver)</t>
  </si>
  <si>
    <t>electricity GGE (kg CO2eq per kWh)</t>
  </si>
  <si>
    <t>further details about the underlying data will be added in the near future</t>
  </si>
  <si>
    <t>period</t>
  </si>
  <si>
    <t>number of cleans in period</t>
  </si>
  <si>
    <t>proportional to AER</t>
  </si>
  <si>
    <t>from mass steel, glass MDF</t>
  </si>
  <si>
    <t xml:space="preserve">showcase </t>
  </si>
  <si>
    <t>only values less than 3/day allowed</t>
  </si>
  <si>
    <t>surface area of silver objects (m2)</t>
  </si>
  <si>
    <t>CO2 eq kg/m3</t>
  </si>
  <si>
    <t>CO2 eq kg/m2</t>
  </si>
  <si>
    <t>mass steel (m3)</t>
  </si>
  <si>
    <t>mass MDF (m3)</t>
  </si>
  <si>
    <t>mass glass - 11.4mm laminated (m2)</t>
  </si>
  <si>
    <t>coming soon</t>
  </si>
  <si>
    <t>embedded and used electricity, GGE kg CO2eq</t>
  </si>
  <si>
    <t>1 cubic meter of steel</t>
  </si>
  <si>
    <t>1 square meter of 11.5mm laminated glass</t>
  </si>
  <si>
    <t xml:space="preserve"> </t>
  </si>
  <si>
    <t>research on western gives median 7.08, eastern 11.61</t>
  </si>
  <si>
    <t>years</t>
  </si>
  <si>
    <t>It is a work in progress and being released early to allow use. Please notify david.thickett@english-heritage.org.uk of any issues or suggested improvements.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</si>
</sst>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4" borderId="0" xfId="0" applyFill="1"/>
    <xf numFmtId="0" fontId="0" fillId="2" borderId="1" xfId="0" applyFill="1" applyBorder="1"/>
    <xf numFmtId="0" fontId="0" fillId="5" borderId="1" xfId="0" applyFill="1" applyBorder="1"/>
    <xf numFmtId="0" fontId="0" fillId="4" borderId="0" xfId="0" applyFill="1" applyAlignment="1">
      <alignment wrapText="1"/>
    </xf>
    <xf numFmtId="0" fontId="0" fillId="4" borderId="0" xfId="0" applyFill="1" applyBorder="1"/>
    <xf numFmtId="16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I3" sqref="I3"/>
    </sheetView>
  </sheetViews>
  <sheetFormatPr defaultRowHeight="15" x14ac:dyDescent="0.25"/>
  <sheetData>
    <row r="1" spans="1:1" x14ac:dyDescent="0.35">
      <c r="A1" t="s">
        <v>17</v>
      </c>
    </row>
    <row r="2" spans="1:1" x14ac:dyDescent="0.35">
      <c r="A2" t="s">
        <v>65</v>
      </c>
    </row>
    <row r="3" spans="1:1" x14ac:dyDescent="0.35">
      <c r="A3" t="s">
        <v>0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D10" sqref="D10"/>
    </sheetView>
  </sheetViews>
  <sheetFormatPr defaultRowHeight="15" x14ac:dyDescent="0.25"/>
  <cols>
    <col min="3" max="3" width="18.5703125" customWidth="1"/>
  </cols>
  <sheetData>
    <row r="1" spans="1:17" x14ac:dyDescent="0.35">
      <c r="A1" s="3" t="s">
        <v>15</v>
      </c>
      <c r="B1" s="3"/>
      <c r="C1" s="3"/>
      <c r="D1" s="3"/>
      <c r="E1" s="2">
        <v>15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"/>
    </row>
    <row r="2" spans="1:17" x14ac:dyDescent="0.35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17" x14ac:dyDescent="0.35">
      <c r="A3" s="3" t="s">
        <v>52</v>
      </c>
      <c r="B3" s="3"/>
      <c r="C3" s="3"/>
      <c r="D3" s="2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</row>
    <row r="4" spans="1:17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</row>
    <row r="5" spans="1:17" x14ac:dyDescent="0.35">
      <c r="A5" s="3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</row>
    <row r="6" spans="1:17" x14ac:dyDescent="0.35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</row>
    <row r="7" spans="1:17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"/>
    </row>
    <row r="8" spans="1:17" x14ac:dyDescent="0.35">
      <c r="A8" s="3" t="s">
        <v>8</v>
      </c>
      <c r="B8" s="3"/>
      <c r="C8" s="3"/>
      <c r="D8" s="2">
        <v>90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"/>
    </row>
    <row r="9" spans="1:17" x14ac:dyDescent="0.35">
      <c r="A9" s="3" t="s">
        <v>11</v>
      </c>
      <c r="B9" s="3"/>
      <c r="C9" s="3"/>
      <c r="D9" s="2">
        <v>0.6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"/>
    </row>
    <row r="10" spans="1:17" x14ac:dyDescent="0.35">
      <c r="A10" s="3" t="s">
        <v>9</v>
      </c>
      <c r="B10" s="3"/>
      <c r="C10" s="3"/>
      <c r="D10" s="4" t="s">
        <v>58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"/>
    </row>
    <row r="11" spans="1:17" x14ac:dyDescent="0.35">
      <c r="A11" s="3" t="s">
        <v>10</v>
      </c>
      <c r="B11" s="3"/>
      <c r="C11" s="3"/>
      <c r="D11" s="4" t="s">
        <v>58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"/>
    </row>
    <row r="12" spans="1:17" x14ac:dyDescent="0.35">
      <c r="A12" s="3" t="s">
        <v>13</v>
      </c>
      <c r="B12" s="3"/>
      <c r="C12" s="3"/>
      <c r="D12" s="4" t="s">
        <v>58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"/>
    </row>
    <row r="13" spans="1:17" x14ac:dyDescent="0.35">
      <c r="A13" s="3" t="s">
        <v>14</v>
      </c>
      <c r="B13" s="3"/>
      <c r="C13" s="3"/>
      <c r="D13" s="4">
        <f>D9*365/D8</f>
        <v>2.4333333333333331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x14ac:dyDescent="0.35">
      <c r="A16" s="3" t="s">
        <v>12</v>
      </c>
      <c r="B16" s="3"/>
      <c r="C16" s="3"/>
      <c r="D16" s="2">
        <v>7.08</v>
      </c>
      <c r="E16" s="3" t="s">
        <v>63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7" x14ac:dyDescent="0.35">
      <c r="A17" s="3" t="s">
        <v>31</v>
      </c>
      <c r="B17" s="3"/>
      <c r="C17" s="3"/>
      <c r="D17" s="4">
        <f>D16/(D9/(D8/365))</f>
        <v>2.9095890410958902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"/>
    </row>
    <row r="18" spans="1:17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"/>
    </row>
    <row r="19" spans="1:17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"/>
    </row>
    <row r="20" spans="1:17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"/>
    </row>
    <row r="21" spans="1:17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"/>
    </row>
    <row r="22" spans="1:17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"/>
    </row>
    <row r="23" spans="1:17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"/>
    </row>
    <row r="24" spans="1:17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"/>
    </row>
    <row r="25" spans="1:17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"/>
    </row>
    <row r="26" spans="1:17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opLeftCell="A2" workbookViewId="0">
      <selection activeCell="E8" sqref="E8"/>
    </sheetView>
  </sheetViews>
  <sheetFormatPr defaultRowHeight="15" x14ac:dyDescent="0.25"/>
  <cols>
    <col min="6" max="6" width="34.140625" customWidth="1"/>
  </cols>
  <sheetData>
    <row r="1" spans="1:24" x14ac:dyDescent="0.3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  <c r="S2" s="1"/>
      <c r="T2" s="1"/>
      <c r="U2" s="1"/>
      <c r="V2" s="1"/>
      <c r="W2" s="1"/>
      <c r="X2" s="1"/>
    </row>
    <row r="3" spans="1:24" x14ac:dyDescent="0.35">
      <c r="A3" s="3" t="s">
        <v>2</v>
      </c>
      <c r="B3" s="3"/>
      <c r="C3" s="3"/>
      <c r="D3" s="3"/>
      <c r="E3" s="2">
        <v>3</v>
      </c>
      <c r="F3" s="3" t="s">
        <v>51</v>
      </c>
      <c r="G3" s="3" t="s">
        <v>3</v>
      </c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</row>
    <row r="4" spans="1:24" x14ac:dyDescent="0.35">
      <c r="A4" s="3" t="s">
        <v>5</v>
      </c>
      <c r="B4" s="3"/>
      <c r="C4" s="3"/>
      <c r="D4" s="3"/>
      <c r="E4" s="2"/>
      <c r="F4" s="3" t="s">
        <v>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S4" s="1"/>
      <c r="T4" s="1"/>
      <c r="U4" s="1"/>
      <c r="V4" s="1"/>
      <c r="W4" s="1"/>
      <c r="X4" s="1"/>
    </row>
    <row r="5" spans="1:24" x14ac:dyDescent="0.35">
      <c r="A5" s="3" t="s">
        <v>55</v>
      </c>
      <c r="B5" s="3"/>
      <c r="C5" s="3"/>
      <c r="D5" s="3"/>
      <c r="E5" s="2">
        <v>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  <c r="S5" s="1"/>
      <c r="T5" s="1"/>
      <c r="U5" s="1"/>
      <c r="V5" s="1"/>
      <c r="W5" s="1"/>
      <c r="X5" s="1"/>
    </row>
    <row r="6" spans="1:24" x14ac:dyDescent="0.35">
      <c r="A6" s="3" t="s">
        <v>57</v>
      </c>
      <c r="B6" s="3"/>
      <c r="C6" s="3"/>
      <c r="D6" s="3"/>
      <c r="E6" s="2">
        <v>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  <c r="S6" s="1"/>
      <c r="T6" s="1"/>
      <c r="U6" s="1"/>
      <c r="V6" s="1"/>
      <c r="W6" s="1"/>
      <c r="X6" s="1"/>
    </row>
    <row r="7" spans="1:24" x14ac:dyDescent="0.35">
      <c r="A7" s="3" t="s">
        <v>56</v>
      </c>
      <c r="B7" s="3"/>
      <c r="C7" s="3"/>
      <c r="D7" s="3"/>
      <c r="E7" s="2">
        <v>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  <c r="S7" s="1"/>
      <c r="T7" s="1"/>
      <c r="U7" s="1"/>
      <c r="V7" s="1"/>
      <c r="W7" s="1"/>
      <c r="X7" s="1"/>
    </row>
    <row r="8" spans="1:24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  <c r="S8" s="1"/>
      <c r="T8" s="1"/>
      <c r="U8" s="1"/>
      <c r="V8" s="1"/>
      <c r="W8" s="1"/>
      <c r="X8" s="1"/>
    </row>
    <row r="9" spans="1:24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  <c r="S9" s="1"/>
      <c r="T9" s="1"/>
      <c r="U9" s="1"/>
      <c r="V9" s="1"/>
      <c r="W9" s="1"/>
      <c r="X9" s="1"/>
    </row>
    <row r="10" spans="1:24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  <c r="S10" s="1"/>
      <c r="T10" s="1"/>
      <c r="U10" s="1"/>
      <c r="V10" s="1"/>
      <c r="W10" s="1"/>
      <c r="X10" s="1"/>
    </row>
    <row r="11" spans="1:24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"/>
      <c r="S11" s="1"/>
      <c r="T11" s="1"/>
      <c r="U11" s="1"/>
      <c r="V11" s="1"/>
      <c r="W11" s="1"/>
      <c r="X11" s="1"/>
    </row>
    <row r="12" spans="1:24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"/>
      <c r="S12" s="1"/>
      <c r="T12" s="1"/>
      <c r="U12" s="1"/>
      <c r="V12" s="1"/>
      <c r="W12" s="1"/>
      <c r="X12" s="1"/>
    </row>
    <row r="13" spans="1:24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"/>
      <c r="S13" s="1"/>
      <c r="T13" s="1"/>
      <c r="U13" s="1"/>
      <c r="V13" s="1"/>
      <c r="W13" s="1"/>
      <c r="X13" s="1"/>
    </row>
    <row r="14" spans="1:24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"/>
      <c r="S14" s="1"/>
      <c r="T14" s="1"/>
      <c r="U14" s="1"/>
      <c r="V14" s="1"/>
      <c r="W14" s="1"/>
      <c r="X14" s="1"/>
    </row>
    <row r="15" spans="1:24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"/>
      <c r="S15" s="1"/>
      <c r="T15" s="1"/>
      <c r="U15" s="1"/>
      <c r="V15" s="1"/>
      <c r="W15" s="1"/>
      <c r="X15" s="1"/>
    </row>
    <row r="16" spans="1:2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"/>
      <c r="S16" s="1"/>
      <c r="T16" s="1"/>
      <c r="U16" s="1"/>
      <c r="V16" s="1"/>
      <c r="W16" s="1"/>
      <c r="X16" s="1"/>
    </row>
    <row r="17" spans="1:24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"/>
      <c r="S17" s="1"/>
      <c r="T17" s="1"/>
      <c r="U17" s="1"/>
      <c r="V17" s="1"/>
      <c r="W17" s="1"/>
      <c r="X17" s="1"/>
    </row>
    <row r="18" spans="1:24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"/>
      <c r="S18" s="1"/>
      <c r="T18" s="1"/>
      <c r="U18" s="1"/>
      <c r="V18" s="1"/>
      <c r="W18" s="1"/>
      <c r="X18" s="1"/>
    </row>
    <row r="19" spans="1:24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"/>
      <c r="S19" s="1"/>
      <c r="T19" s="1"/>
      <c r="U19" s="1"/>
      <c r="V19" s="1"/>
      <c r="W19" s="1"/>
      <c r="X19" s="1"/>
    </row>
    <row r="20" spans="1:24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"/>
      <c r="S20" s="1"/>
      <c r="T20" s="1"/>
      <c r="U20" s="1"/>
      <c r="V20" s="1"/>
      <c r="W20" s="1"/>
      <c r="X20" s="1"/>
    </row>
    <row r="21" spans="1:24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"/>
      <c r="S21" s="1"/>
      <c r="T21" s="1"/>
      <c r="U21" s="1"/>
      <c r="V21" s="1"/>
      <c r="W21" s="1"/>
      <c r="X21" s="1"/>
    </row>
    <row r="22" spans="1:2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"/>
      <c r="S22" s="1"/>
      <c r="T22" s="1"/>
      <c r="U22" s="1"/>
      <c r="V22" s="1"/>
      <c r="W22" s="1"/>
      <c r="X22" s="1"/>
    </row>
    <row r="23" spans="1:24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"/>
      <c r="S23" s="1"/>
      <c r="T23" s="1"/>
      <c r="U23" s="1"/>
      <c r="V23" s="1"/>
      <c r="W23" s="1"/>
      <c r="X23" s="1"/>
    </row>
    <row r="24" spans="1:24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"/>
      <c r="S24" s="1"/>
      <c r="T24" s="1"/>
      <c r="U24" s="1"/>
      <c r="V24" s="1"/>
      <c r="W24" s="1"/>
      <c r="X24" s="1"/>
    </row>
    <row r="25" spans="1:24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"/>
      <c r="S25" s="1"/>
      <c r="T25" s="1"/>
      <c r="U25" s="1"/>
      <c r="V25" s="1"/>
      <c r="W25" s="1"/>
      <c r="X2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14" sqref="A14"/>
    </sheetView>
  </sheetViews>
  <sheetFormatPr defaultRowHeight="15" x14ac:dyDescent="0.25"/>
  <cols>
    <col min="1" max="1" width="45.28515625" customWidth="1"/>
    <col min="2" max="2" width="28" customWidth="1"/>
    <col min="3" max="3" width="18.140625" customWidth="1"/>
    <col min="5" max="5" width="16.140625" customWidth="1"/>
    <col min="6" max="6" width="18.1406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x14ac:dyDescent="0.35">
      <c r="A2" s="3" t="s">
        <v>44</v>
      </c>
      <c r="B2" s="2">
        <v>2.21</v>
      </c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35">
      <c r="A4" s="3"/>
      <c r="B4" s="3" t="s">
        <v>32</v>
      </c>
      <c r="C4" s="3" t="s">
        <v>36</v>
      </c>
      <c r="D4" s="3" t="s">
        <v>37</v>
      </c>
      <c r="E4" s="3" t="s">
        <v>38</v>
      </c>
      <c r="F4" s="3" t="s">
        <v>39</v>
      </c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35">
      <c r="A6" s="3" t="s">
        <v>50</v>
      </c>
      <c r="B6" s="3" t="s">
        <v>48</v>
      </c>
      <c r="C6" s="3" t="s">
        <v>49</v>
      </c>
      <c r="D6" s="3"/>
      <c r="E6" s="3"/>
      <c r="F6" s="3"/>
      <c r="G6" s="3"/>
      <c r="H6" s="3"/>
    </row>
    <row r="7" spans="1:8" x14ac:dyDescent="0.35">
      <c r="A7" s="3" t="s">
        <v>33</v>
      </c>
      <c r="B7" s="2">
        <v>0.97</v>
      </c>
      <c r="C7" s="2">
        <v>51</v>
      </c>
      <c r="D7" s="2">
        <v>5</v>
      </c>
      <c r="E7" s="2">
        <v>24</v>
      </c>
      <c r="F7" s="2">
        <v>0.113</v>
      </c>
      <c r="G7" s="3"/>
      <c r="H7" s="3"/>
    </row>
    <row r="8" spans="1:8" x14ac:dyDescent="0.35">
      <c r="A8" s="3" t="s">
        <v>34</v>
      </c>
      <c r="B8" s="2">
        <v>0.97</v>
      </c>
      <c r="C8" s="2">
        <v>35</v>
      </c>
      <c r="D8" s="2">
        <v>0.75</v>
      </c>
      <c r="E8" s="2">
        <v>24</v>
      </c>
      <c r="F8" s="2">
        <v>8.5000000000000006E-2</v>
      </c>
      <c r="G8" s="3"/>
      <c r="H8" s="3"/>
    </row>
    <row r="9" spans="1:8" x14ac:dyDescent="0.35">
      <c r="A9" s="3" t="s">
        <v>35</v>
      </c>
      <c r="B9" s="2">
        <v>0.65</v>
      </c>
      <c r="C9" s="2">
        <v>123</v>
      </c>
      <c r="D9" s="2">
        <v>20</v>
      </c>
      <c r="E9" s="2">
        <v>24</v>
      </c>
      <c r="F9" s="2">
        <v>0.98</v>
      </c>
      <c r="G9" s="3"/>
      <c r="H9" s="3"/>
    </row>
    <row r="10" spans="1:8" x14ac:dyDescent="0.35">
      <c r="A10" s="3" t="s">
        <v>40</v>
      </c>
      <c r="B10" s="2">
        <v>0.99</v>
      </c>
      <c r="C10" s="2">
        <v>3.09</v>
      </c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35">
      <c r="A12" s="3" t="s">
        <v>60</v>
      </c>
      <c r="B12" s="3"/>
      <c r="C12" s="2">
        <v>29.1</v>
      </c>
      <c r="D12" s="3" t="s">
        <v>53</v>
      </c>
      <c r="E12" s="3"/>
      <c r="F12" s="3"/>
      <c r="G12" s="3"/>
      <c r="H12" s="3"/>
    </row>
    <row r="13" spans="1:8" x14ac:dyDescent="0.35">
      <c r="A13" s="3" t="s">
        <v>61</v>
      </c>
      <c r="B13" s="3"/>
      <c r="C13" s="2">
        <v>47.3</v>
      </c>
      <c r="D13" s="3" t="s">
        <v>54</v>
      </c>
      <c r="E13" s="3"/>
      <c r="F13" s="3"/>
      <c r="G13" s="3"/>
      <c r="H13" s="3"/>
    </row>
    <row r="14" spans="1:8" x14ac:dyDescent="0.35">
      <c r="A14" s="3" t="s">
        <v>62</v>
      </c>
      <c r="B14" s="3"/>
      <c r="C14" s="2">
        <v>4.7450000000000001</v>
      </c>
      <c r="D14" s="3" t="s">
        <v>53</v>
      </c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35">
      <c r="A16" s="3" t="s">
        <v>41</v>
      </c>
      <c r="B16" s="3"/>
      <c r="C16" s="2">
        <v>2.4889199999999998</v>
      </c>
      <c r="D16" s="3" t="s">
        <v>54</v>
      </c>
      <c r="E16" s="3"/>
      <c r="F16" s="3"/>
      <c r="G16" s="3"/>
      <c r="H16" s="3"/>
    </row>
    <row r="17" spans="1:8" x14ac:dyDescent="0.35">
      <c r="A17" s="3" t="s">
        <v>42</v>
      </c>
      <c r="B17" s="3"/>
      <c r="C17" s="2">
        <v>8.8919999999999999E-2</v>
      </c>
      <c r="D17" s="3" t="s">
        <v>54</v>
      </c>
      <c r="E17" s="3"/>
      <c r="F17" s="3"/>
      <c r="G17" s="3"/>
      <c r="H17" s="3"/>
    </row>
    <row r="18" spans="1:8" x14ac:dyDescent="0.35">
      <c r="A18" s="3" t="s">
        <v>43</v>
      </c>
      <c r="B18" s="3"/>
      <c r="C18" s="2">
        <v>3.09259</v>
      </c>
      <c r="D18" s="3" t="s">
        <v>54</v>
      </c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B3" sqref="B3"/>
    </sheetView>
  </sheetViews>
  <sheetFormatPr defaultRowHeight="15" x14ac:dyDescent="0.25"/>
  <cols>
    <col min="1" max="1" width="68.140625" customWidth="1"/>
    <col min="2" max="2" width="16.42578125" customWidth="1"/>
    <col min="3" max="3" width="23.140625" customWidth="1"/>
    <col min="4" max="4" width="16.85546875" customWidth="1"/>
    <col min="6" max="6" width="19.7109375" customWidth="1"/>
    <col min="8" max="8" width="35.140625" customWidth="1"/>
  </cols>
  <sheetData>
    <row r="1" spans="1:18" x14ac:dyDescent="0.25">
      <c r="A1" s="3" t="s">
        <v>46</v>
      </c>
      <c r="B1" s="5">
        <f>'determine tarnish rate and AC'!E1</f>
        <v>15</v>
      </c>
      <c r="C1" s="7" t="s">
        <v>64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9.25" customHeight="1" x14ac:dyDescent="0.25">
      <c r="A2" s="3"/>
      <c r="B2" s="6" t="s">
        <v>47</v>
      </c>
      <c r="C2" s="6" t="s">
        <v>59</v>
      </c>
      <c r="D2" s="3"/>
      <c r="E2" s="3"/>
      <c r="F2" s="3"/>
      <c r="G2" s="3"/>
      <c r="H2" s="3"/>
      <c r="I2" s="3"/>
      <c r="J2" s="3"/>
      <c r="K2" s="3"/>
      <c r="L2" s="7"/>
      <c r="M2" s="3"/>
      <c r="N2" s="3"/>
      <c r="O2" s="3"/>
      <c r="P2" s="3"/>
      <c r="Q2" s="3"/>
      <c r="R2" s="3"/>
    </row>
    <row r="3" spans="1:18" x14ac:dyDescent="0.25">
      <c r="A3" s="3" t="s">
        <v>18</v>
      </c>
      <c r="B3" s="5">
        <f>B1/'determine tarnish rate and AC'!D17</f>
        <v>5.1553672316384187</v>
      </c>
      <c r="C3" s="8">
        <v>0</v>
      </c>
      <c r="D3" s="3" t="s">
        <v>19</v>
      </c>
      <c r="E3" s="8">
        <f>(INT($B3)+1)*'underlying data'!$C$16*'determine tarnish rate and AC'!$D$3</f>
        <v>14.933519999999998</v>
      </c>
      <c r="F3" s="3" t="s">
        <v>20</v>
      </c>
      <c r="G3" s="8">
        <f>(INT($B3)+1)*'underlying data'!$C$17*'determine tarnish rate and AC'!$D$3</f>
        <v>0.53351999999999999</v>
      </c>
      <c r="H3" s="3" t="s">
        <v>21</v>
      </c>
      <c r="I3" s="8">
        <f>(INT($B3)+1)*'underlying data'!$C$18*'determine tarnish rate and AC'!$D$3</f>
        <v>18.555540000000001</v>
      </c>
      <c r="J3" s="3"/>
      <c r="K3" s="3"/>
      <c r="L3" s="7"/>
      <c r="M3" s="3"/>
      <c r="N3" s="3"/>
      <c r="O3" s="3"/>
      <c r="P3" s="3"/>
      <c r="Q3" s="3"/>
      <c r="R3" s="3"/>
    </row>
    <row r="4" spans="1:18" x14ac:dyDescent="0.25">
      <c r="A4" s="3" t="s">
        <v>22</v>
      </c>
      <c r="B4" s="5">
        <f>B3*(1-'underlying data'!B9)</f>
        <v>1.8043785310734464</v>
      </c>
      <c r="C4" s="8">
        <f>'underlying data'!C9+('underlying data'!B2*B$1*365*'underlying data'!F9)+('underlying data'!D9*B$1/2)</f>
        <v>12130.754999999999</v>
      </c>
      <c r="D4" s="3" t="s">
        <v>19</v>
      </c>
      <c r="E4" s="8">
        <f>(INT($B4)+1)*'underlying data'!$C$16*'determine tarnish rate and AC'!$D$3</f>
        <v>4.9778399999999996</v>
      </c>
      <c r="F4" s="3" t="s">
        <v>20</v>
      </c>
      <c r="G4" s="8">
        <f>(INT($B4)+1)*'underlying data'!$C$17*'determine tarnish rate and AC'!$D$3</f>
        <v>0.17784</v>
      </c>
      <c r="H4" s="3" t="s">
        <v>21</v>
      </c>
      <c r="I4" s="8">
        <f>(INT($B4)+1)*'underlying data'!$C$18*'determine tarnish rate and AC'!$D$3</f>
        <v>6.1851799999999999</v>
      </c>
      <c r="J4" s="3"/>
      <c r="K4" s="3"/>
      <c r="L4" s="7"/>
      <c r="M4" s="3"/>
      <c r="N4" s="3"/>
      <c r="O4" s="3"/>
      <c r="P4" s="3"/>
      <c r="Q4" s="3"/>
      <c r="R4" s="3"/>
    </row>
    <row r="5" spans="1:18" x14ac:dyDescent="0.25">
      <c r="A5" s="3" t="s">
        <v>24</v>
      </c>
      <c r="B5" s="5">
        <f>B3*(1-'underlying data'!B10)</f>
        <v>5.1553672316384233E-2</v>
      </c>
      <c r="C5" s="8">
        <f>(INT(B5)+1)*'underlying data'!C10*'determine tarnish rate and AC'!D3</f>
        <v>3.09</v>
      </c>
      <c r="D5" s="3" t="s">
        <v>19</v>
      </c>
      <c r="E5" s="8">
        <f>(INT($B5)+1)*'underlying data'!$C$16*'determine tarnish rate and AC'!$D$3</f>
        <v>2.4889199999999998</v>
      </c>
      <c r="F5" s="3" t="s">
        <v>20</v>
      </c>
      <c r="G5" s="8">
        <f>(INT($B5)+1)*'underlying data'!$C$17*'determine tarnish rate and AC'!$D$3</f>
        <v>8.8919999999999999E-2</v>
      </c>
      <c r="H5" s="3" t="s">
        <v>21</v>
      </c>
      <c r="I5" s="8">
        <f>(INT($B5)+1)*'underlying data'!$C$18*'determine tarnish rate and AC'!$D$3</f>
        <v>3.09259</v>
      </c>
      <c r="J5" s="3"/>
      <c r="K5" s="3"/>
      <c r="L5" s="7"/>
      <c r="M5" s="3"/>
      <c r="N5" s="3"/>
      <c r="O5" s="3"/>
      <c r="P5" s="3"/>
      <c r="Q5" s="3"/>
      <c r="R5" s="3"/>
    </row>
    <row r="6" spans="1:18" x14ac:dyDescent="0.25">
      <c r="A6" s="3" t="s">
        <v>25</v>
      </c>
      <c r="B6" s="5">
        <f>B5*(1-'underlying data'!B9)</f>
        <v>1.8043785310734479E-2</v>
      </c>
      <c r="C6" s="8" t="s">
        <v>58</v>
      </c>
      <c r="D6" s="3" t="s">
        <v>19</v>
      </c>
      <c r="E6" s="8">
        <f>(INT($B6)+1)*'underlying data'!$C$16*'determine tarnish rate and AC'!$D$3</f>
        <v>2.4889199999999998</v>
      </c>
      <c r="F6" s="3" t="s">
        <v>20</v>
      </c>
      <c r="G6" s="8">
        <f>(INT($B6)+1)*'underlying data'!$C$17*'determine tarnish rate and AC'!$D$3</f>
        <v>8.8919999999999999E-2</v>
      </c>
      <c r="H6" s="3" t="s">
        <v>21</v>
      </c>
      <c r="I6" s="8">
        <f>(INT($B6)+1)*'underlying data'!$C$18*'determine tarnish rate and AC'!$D$3</f>
        <v>3.09259</v>
      </c>
      <c r="J6" s="3"/>
      <c r="K6" s="3"/>
      <c r="L6" s="7"/>
      <c r="M6" s="3"/>
      <c r="N6" s="3"/>
      <c r="O6" s="3"/>
      <c r="P6" s="3"/>
      <c r="Q6" s="3"/>
      <c r="R6" s="3"/>
    </row>
    <row r="7" spans="1:18" x14ac:dyDescent="0.25">
      <c r="A7" s="3" t="s">
        <v>23</v>
      </c>
      <c r="B7" s="5">
        <f>B3*((1.4158*'input showcase data'!E3)/5)</f>
        <v>4.3793813559322041</v>
      </c>
      <c r="C7" s="8">
        <f>('underlying data'!C12*'input showcase data'!E5)+('underlying data'!C13*'input showcase data'!E6)+('underlying data'!C14*'input showcase data'!E7)</f>
        <v>81.14500000000001</v>
      </c>
      <c r="D7" s="3" t="s">
        <v>19</v>
      </c>
      <c r="E7" s="8">
        <f>(INT($B7)+1)*'underlying data'!$C$16*'determine tarnish rate and AC'!$D$3</f>
        <v>12.444599999999999</v>
      </c>
      <c r="F7" s="3" t="s">
        <v>20</v>
      </c>
      <c r="G7" s="8">
        <f>(INT($B7)+1)*'underlying data'!$C$17*'determine tarnish rate and AC'!$D$3</f>
        <v>0.4446</v>
      </c>
      <c r="H7" s="3" t="s">
        <v>21</v>
      </c>
      <c r="I7" s="8">
        <f>(INT($B7)+1)*'underlying data'!$C$18*'determine tarnish rate and AC'!$D$3</f>
        <v>15.462949999999999</v>
      </c>
      <c r="J7" s="3"/>
      <c r="K7" s="3"/>
      <c r="L7" s="7"/>
      <c r="M7" s="3"/>
      <c r="N7" s="3"/>
      <c r="O7" s="3"/>
      <c r="P7" s="3"/>
      <c r="Q7" s="3"/>
      <c r="R7" s="3"/>
    </row>
    <row r="8" spans="1:18" x14ac:dyDescent="0.25">
      <c r="A8" s="3" t="s">
        <v>26</v>
      </c>
      <c r="B8" s="5">
        <f>B7*(1-'underlying data'!B7)</f>
        <v>0.13138144067796623</v>
      </c>
      <c r="C8" s="8">
        <f>C7+'underlying data'!C7+('underlying data'!B$2*B$1*365*'underlying data'!F7)+('underlying data'!D7*B$1/2)</f>
        <v>1536.9167500000001</v>
      </c>
      <c r="D8" s="3" t="s">
        <v>19</v>
      </c>
      <c r="E8" s="8">
        <f>(INT($B8)+1)*'underlying data'!$C$16*'determine tarnish rate and AC'!$D$3</f>
        <v>2.4889199999999998</v>
      </c>
      <c r="F8" s="3" t="s">
        <v>20</v>
      </c>
      <c r="G8" s="8">
        <f>(INT($B8)+1)*'underlying data'!$C$17*'determine tarnish rate and AC'!$D$3</f>
        <v>8.8919999999999999E-2</v>
      </c>
      <c r="H8" s="3" t="s">
        <v>21</v>
      </c>
      <c r="I8" s="8">
        <f>(INT($B8)+1)*'underlying data'!$C$18*'determine tarnish rate and AC'!$D$3</f>
        <v>3.09259</v>
      </c>
      <c r="J8" s="3"/>
      <c r="K8" s="3"/>
      <c r="L8" s="7"/>
      <c r="M8" s="3"/>
      <c r="N8" s="3"/>
      <c r="O8" s="3"/>
      <c r="P8" s="3"/>
      <c r="Q8" s="3"/>
      <c r="R8" s="3"/>
    </row>
    <row r="9" spans="1:18" x14ac:dyDescent="0.25">
      <c r="A9" s="3" t="s">
        <v>27</v>
      </c>
      <c r="B9" s="5">
        <f>B7*(1-'underlying data'!B8)</f>
        <v>0.13138144067796623</v>
      </c>
      <c r="C9" s="8">
        <f>C7+'underlying data'!C8+('underlying data'!B$2*B$1*365*'underlying data'!F8)+('underlying data'!D8*B$1/2)</f>
        <v>1150.24875</v>
      </c>
      <c r="D9" s="3" t="s">
        <v>19</v>
      </c>
      <c r="E9" s="8">
        <f>(INT($B9)+1)*'underlying data'!$C$16*'determine tarnish rate and AC'!$D$3</f>
        <v>2.4889199999999998</v>
      </c>
      <c r="F9" s="3" t="s">
        <v>20</v>
      </c>
      <c r="G9" s="8">
        <f>(INT($B9)+1)*'underlying data'!$C$17*'determine tarnish rate and AC'!$D$3</f>
        <v>8.8919999999999999E-2</v>
      </c>
      <c r="H9" s="3" t="s">
        <v>21</v>
      </c>
      <c r="I9" s="8">
        <f>(INT($B9)+1)*'underlying data'!$C$18*'determine tarnish rate and AC'!$D$3</f>
        <v>3.09259</v>
      </c>
      <c r="J9" s="3"/>
      <c r="K9" s="3"/>
      <c r="L9" s="7"/>
      <c r="M9" s="3"/>
      <c r="N9" s="3"/>
      <c r="O9" s="3"/>
      <c r="P9" s="3"/>
      <c r="Q9" s="3"/>
      <c r="R9" s="3"/>
    </row>
    <row r="10" spans="1:18" x14ac:dyDescent="0.25">
      <c r="A10" s="3" t="s">
        <v>28</v>
      </c>
      <c r="B10" s="5">
        <f>B7*(1-'underlying data'!B10)</f>
        <v>4.3793813559322083E-2</v>
      </c>
      <c r="C10" s="8">
        <f>C7+(INT(B10)+1)*'underlying data'!C10*'determine tarnish rate and AC'!D3</f>
        <v>84.235000000000014</v>
      </c>
      <c r="D10" s="3" t="s">
        <v>19</v>
      </c>
      <c r="E10" s="8">
        <f>(INT($B10)+1)*'underlying data'!$C$16*'determine tarnish rate and AC'!$D$3</f>
        <v>2.4889199999999998</v>
      </c>
      <c r="F10" s="3" t="s">
        <v>20</v>
      </c>
      <c r="G10" s="8">
        <f>(INT($B10)+1)*'underlying data'!$C$17*'determine tarnish rate and AC'!$D$3</f>
        <v>8.8919999999999999E-2</v>
      </c>
      <c r="H10" s="3" t="s">
        <v>21</v>
      </c>
      <c r="I10" s="8">
        <f>(INT($B10)+1)*'underlying data'!$C$18*'determine tarnish rate and AC'!$D$3</f>
        <v>3.09259</v>
      </c>
      <c r="J10" s="3"/>
      <c r="K10" s="3"/>
      <c r="L10" s="7"/>
      <c r="M10" s="3"/>
      <c r="N10" s="3"/>
      <c r="O10" s="3"/>
      <c r="P10" s="3"/>
      <c r="Q10" s="3"/>
      <c r="R10" s="3"/>
    </row>
    <row r="11" spans="1:18" x14ac:dyDescent="0.25">
      <c r="A11" s="3" t="s">
        <v>29</v>
      </c>
      <c r="B11" s="5">
        <f>B10*(1-'underlying data'!B7)</f>
        <v>1.3138144067796637E-3</v>
      </c>
      <c r="C11" s="5" t="s">
        <v>58</v>
      </c>
      <c r="D11" s="3" t="s">
        <v>19</v>
      </c>
      <c r="E11" s="8">
        <f>(INT($B11)+1)*'underlying data'!$C$16*'determine tarnish rate and AC'!$D$3</f>
        <v>2.4889199999999998</v>
      </c>
      <c r="F11" s="3" t="s">
        <v>20</v>
      </c>
      <c r="G11" s="8">
        <f>(INT($B11)+1)*'underlying data'!$C$17*'determine tarnish rate and AC'!$D$3</f>
        <v>8.8919999999999999E-2</v>
      </c>
      <c r="H11" s="3" t="s">
        <v>21</v>
      </c>
      <c r="I11" s="8">
        <f>(INT($B11)+1)*'underlying data'!$C$18*'determine tarnish rate and AC'!$D$3</f>
        <v>3.09259</v>
      </c>
      <c r="J11" s="3"/>
      <c r="K11" s="3"/>
      <c r="L11" s="7"/>
      <c r="M11" s="3"/>
      <c r="N11" s="3"/>
      <c r="O11" s="3"/>
      <c r="P11" s="3"/>
      <c r="Q11" s="3"/>
      <c r="R11" s="3"/>
    </row>
    <row r="12" spans="1:18" x14ac:dyDescent="0.25">
      <c r="A12" s="3" t="s">
        <v>30</v>
      </c>
      <c r="B12" s="5">
        <f>B10*(1-'underlying data'!B8)</f>
        <v>1.3138144067796637E-3</v>
      </c>
      <c r="C12" s="5" t="s">
        <v>58</v>
      </c>
      <c r="D12" s="3" t="s">
        <v>19</v>
      </c>
      <c r="E12" s="8">
        <f>(INT($B12)+1)*'underlying data'!$C$16*'determine tarnish rate and AC'!$D$3</f>
        <v>2.4889199999999998</v>
      </c>
      <c r="F12" s="3" t="s">
        <v>20</v>
      </c>
      <c r="G12" s="8">
        <f>(INT($B12)+1)*'underlying data'!$C$17*'determine tarnish rate and AC'!$D$3</f>
        <v>8.8919999999999999E-2</v>
      </c>
      <c r="H12" s="3" t="s">
        <v>21</v>
      </c>
      <c r="I12" s="8">
        <f>(INT($B12)+1)*'underlying data'!$C$18*'determine tarnish rate and AC'!$D$3</f>
        <v>3.09259</v>
      </c>
      <c r="J12" s="3"/>
      <c r="K12" s="3"/>
      <c r="L12" s="7"/>
      <c r="M12" s="3"/>
      <c r="N12" s="3"/>
      <c r="O12" s="3"/>
      <c r="P12" s="3"/>
      <c r="Q12" s="3"/>
      <c r="R12" s="3"/>
    </row>
    <row r="13" spans="1:18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7"/>
      <c r="M13" s="3"/>
      <c r="N13" s="3"/>
      <c r="O13" s="3"/>
      <c r="P13" s="3"/>
      <c r="Q13" s="3"/>
      <c r="R13" s="3"/>
    </row>
    <row r="14" spans="1:18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7"/>
      <c r="M14" s="3"/>
      <c r="N14" s="3"/>
      <c r="O14" s="3"/>
      <c r="P14" s="3"/>
      <c r="Q14" s="3"/>
      <c r="R14" s="3"/>
    </row>
    <row r="15" spans="1:18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determine tarnish rate and AC</vt:lpstr>
      <vt:lpstr>input showcase data</vt:lpstr>
      <vt:lpstr>underlying data</vt:lpstr>
      <vt:lpstr>outputs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dcterms:created xsi:type="dcterms:W3CDTF">2023-09-03T13:47:41Z</dcterms:created>
  <dcterms:modified xsi:type="dcterms:W3CDTF">2023-09-08T14:33:24Z</dcterms:modified>
</cp:coreProperties>
</file>